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חישוב תקציב " sheetId="1" r:id="rId4"/>
    <sheet state="hidden" name="Расчеты" sheetId="2" r:id="rId5"/>
  </sheets>
  <definedNames/>
  <calcPr/>
  <extLst>
    <ext uri="GoogleSheetsCustomDataVersion2">
      <go:sheetsCustomData xmlns:go="http://customooxmlschemas.google.com/" r:id="rId6" roundtripDataChecksum="atEMzVTXlrB7zBketFd5aVDR72WuNPwSf9H26L5UJO0="/>
    </ext>
  </extLst>
</workbook>
</file>

<file path=xl/sharedStrings.xml><?xml version="1.0" encoding="utf-8"?>
<sst xmlns="http://schemas.openxmlformats.org/spreadsheetml/2006/main" count="48" uniqueCount="40">
  <si>
    <t xml:space="preserve">שלב 1: תקציב שיווק </t>
  </si>
  <si>
    <t xml:space="preserve">אימון כושר </t>
  </si>
  <si>
    <t>תזונאי</t>
  </si>
  <si>
    <t>קבוצתי</t>
  </si>
  <si>
    <t>מוצר 4</t>
  </si>
  <si>
    <t>מוצר 5</t>
  </si>
  <si>
    <t>סה"כ</t>
  </si>
  <si>
    <t>כמות חיפושים</t>
  </si>
  <si>
    <t>למלא</t>
  </si>
  <si>
    <t>מחיר לקליק</t>
  </si>
  <si>
    <t>CTR</t>
  </si>
  <si>
    <t>לא לגעת</t>
  </si>
  <si>
    <t>סה"כ קליקים</t>
  </si>
  <si>
    <t>תקציב מומלץ</t>
  </si>
  <si>
    <t>שלב 2: אתר</t>
  </si>
  <si>
    <t xml:space="preserve">יחס המרה </t>
  </si>
  <si>
    <t>כמות פניות</t>
  </si>
  <si>
    <t>View-Through Conversion</t>
  </si>
  <si>
    <t>שלב 3: רווחיות</t>
  </si>
  <si>
    <t>יחס המרה מליד ללקוח משלם</t>
  </si>
  <si>
    <t xml:space="preserve">מחיר ממוצע של המוצר </t>
  </si>
  <si>
    <t xml:space="preserve">עלות מוצר </t>
  </si>
  <si>
    <t xml:space="preserve">כמות הזמנות </t>
  </si>
  <si>
    <t xml:space="preserve">הכנסות </t>
  </si>
  <si>
    <t xml:space="preserve">הוצאות עלות המכר
</t>
  </si>
  <si>
    <t>רווח</t>
  </si>
  <si>
    <t>ROAS</t>
  </si>
  <si>
    <t>Качество</t>
  </si>
  <si>
    <t>Расх</t>
  </si>
  <si>
    <t>Прибыль</t>
  </si>
  <si>
    <t>Средний CTR</t>
  </si>
  <si>
    <t>Дох</t>
  </si>
  <si>
    <t>Ср Конверсия посадочной</t>
  </si>
  <si>
    <t>Уровень рекламы</t>
  </si>
  <si>
    <t>Конв</t>
  </si>
  <si>
    <t>"Сын маминой подруги все сделает сам"</t>
  </si>
  <si>
    <t>"У меня нет на это времени"</t>
  </si>
  <si>
    <t>"Сойдет как есть"</t>
  </si>
  <si>
    <t>"Докручу немного"</t>
  </si>
  <si>
    <t>"Путь непрерывного улучшения"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</si>
</sst>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₪-40D]#,##0.00"/>
    <numFmt numFmtId="165" formatCode="0.0%"/>
    <numFmt numFmtId="166" formatCode="[$$]#,##0"/>
  </numFmts>
  <fonts count="6">
    <font>
      <sz val="10.0"/>
      <color rgb="FF000000"/>
      <name val="Arial"/>
      <scheme val="minor"/>
    </font>
    <font>
      <sz val="18.0"/>
      <color theme="1"/>
      <name val="Arial"/>
    </font>
    <font/>
    <font>
      <color theme="1"/>
      <name val="Arial"/>
    </font>
    <font>
      <b/>
      <color theme="1"/>
      <name val="Arial"/>
    </font>
    <font>
      <b/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</fills>
  <borders count="1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3" numFmtId="0" xfId="0" applyAlignment="1" applyBorder="1" applyFont="1">
      <alignment horizontal="center"/>
    </xf>
    <xf borderId="5" fillId="0" fontId="4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5" fillId="3" fontId="3" numFmtId="0" xfId="0" applyAlignment="1" applyBorder="1" applyFill="1" applyFont="1">
      <alignment horizontal="center" readingOrder="0"/>
    </xf>
    <xf borderId="6" fillId="4" fontId="4" numFmtId="0" xfId="0" applyAlignment="1" applyBorder="1" applyFill="1" applyFont="1">
      <alignment horizontal="center"/>
    </xf>
    <xf borderId="5" fillId="3" fontId="3" numFmtId="0" xfId="0" applyBorder="1" applyFont="1"/>
    <xf borderId="0" fillId="0" fontId="3" numFmtId="0" xfId="0" applyAlignment="1" applyFont="1">
      <alignment readingOrder="0"/>
    </xf>
    <xf borderId="6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5" fillId="3" fontId="3" numFmtId="9" xfId="0" applyAlignment="1" applyBorder="1" applyFont="1" applyNumberFormat="1">
      <alignment horizontal="center" readingOrder="0"/>
    </xf>
    <xf borderId="5" fillId="4" fontId="3" numFmtId="0" xfId="0" applyBorder="1" applyFont="1"/>
    <xf borderId="5" fillId="4" fontId="3" numFmtId="0" xfId="0" applyAlignment="1" applyBorder="1" applyFont="1">
      <alignment horizontal="center"/>
    </xf>
    <xf borderId="7" fillId="0" fontId="4" numFmtId="0" xfId="0" applyAlignment="1" applyBorder="1" applyFont="1">
      <alignment horizontal="center" readingOrder="0"/>
    </xf>
    <xf borderId="8" fillId="4" fontId="3" numFmtId="164" xfId="0" applyAlignment="1" applyBorder="1" applyFont="1" applyNumberFormat="1">
      <alignment horizontal="center"/>
    </xf>
    <xf borderId="9" fillId="4" fontId="5" numFmtId="164" xfId="0" applyAlignment="1" applyBorder="1" applyFont="1" applyNumberFormat="1">
      <alignment horizontal="center"/>
    </xf>
    <xf borderId="0" fillId="0" fontId="4" numFmtId="0" xfId="0" applyFont="1"/>
    <xf borderId="5" fillId="0" fontId="4" numFmtId="0" xfId="0" applyAlignment="1" applyBorder="1" applyFont="1">
      <alignment horizontal="center"/>
    </xf>
    <xf borderId="6" fillId="4" fontId="5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8" fillId="0" fontId="3" numFmtId="10" xfId="0" applyAlignment="1" applyBorder="1" applyFont="1" applyNumberFormat="1">
      <alignment horizontal="center"/>
    </xf>
    <xf borderId="9" fillId="0" fontId="4" numFmtId="0" xfId="0" applyAlignment="1" applyBorder="1" applyFont="1">
      <alignment horizontal="center"/>
    </xf>
    <xf borderId="5" fillId="3" fontId="3" numFmtId="164" xfId="0" applyAlignment="1" applyBorder="1" applyFont="1" applyNumberFormat="1">
      <alignment horizontal="center" readingOrder="0"/>
    </xf>
    <xf borderId="6" fillId="0" fontId="4" numFmtId="164" xfId="0" applyAlignment="1" applyBorder="1" applyFont="1" applyNumberFormat="1">
      <alignment horizontal="center"/>
    </xf>
    <xf borderId="5" fillId="4" fontId="3" numFmtId="4" xfId="0" applyAlignment="1" applyBorder="1" applyFont="1" applyNumberFormat="1">
      <alignment horizontal="center"/>
    </xf>
    <xf borderId="6" fillId="4" fontId="4" numFmtId="4" xfId="0" applyAlignment="1" applyBorder="1" applyFont="1" applyNumberFormat="1">
      <alignment horizontal="center"/>
    </xf>
    <xf borderId="5" fillId="4" fontId="3" numFmtId="164" xfId="0" applyAlignment="1" applyBorder="1" applyFont="1" applyNumberFormat="1">
      <alignment horizontal="center"/>
    </xf>
    <xf borderId="6" fillId="4" fontId="4" numFmtId="164" xfId="0" applyAlignment="1" applyBorder="1" applyFont="1" applyNumberFormat="1">
      <alignment horizontal="center"/>
    </xf>
    <xf borderId="9" fillId="4" fontId="4" numFmtId="10" xfId="0" applyAlignment="1" applyBorder="1" applyFont="1" applyNumberFormat="1">
      <alignment horizontal="center"/>
    </xf>
    <xf borderId="0" fillId="0" fontId="3" numFmtId="165" xfId="0" applyFont="1" applyNumberFormat="1"/>
    <xf borderId="0" fillId="0" fontId="3" numFmtId="166" xfId="0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000000"/>
                </a:solidFill>
                <a:latin typeface="+mn-lt"/>
              </a:defRPr>
            </a:pPr>
            <a:r>
              <a:rPr b="1" i="0" sz="2000">
                <a:solidFill>
                  <a:srgbClr val="000000"/>
                </a:solidFill>
                <a:latin typeface="+mn-lt"/>
              </a:rPr>
              <a:t>ההשפעה של מדד האיכות על הרווח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93C47D"/>
            </a:solidFill>
            <a:ln cmpd="sng">
              <a:solidFill>
                <a:srgbClr val="000000"/>
              </a:solidFill>
            </a:ln>
          </c:spPr>
          <c:dPt>
            <c:idx val="4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'Расчеты'!$A$2:$A$11</c:f>
            </c:strRef>
          </c:cat>
          <c:val>
            <c:numRef>
              <c:f>'Расчеты'!$C$2:$C$11</c:f>
              <c:numCache/>
            </c:numRef>
          </c:val>
        </c:ser>
        <c:axId val="110129217"/>
        <c:axId val="696624160"/>
      </c:barChart>
      <c:catAx>
        <c:axId val="110129217"/>
        <c:scaling>
          <c:orientation val="minMax"/>
          <c:max val="10.0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איכות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696624160"/>
      </c:catAx>
      <c:valAx>
        <c:axId val="6966241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רווח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012921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000000"/>
                </a:solidFill>
                <a:latin typeface="+mn-lt"/>
              </a:defRPr>
            </a:pPr>
            <a:r>
              <a:rPr b="1" i="0" sz="2000">
                <a:solidFill>
                  <a:srgbClr val="000000"/>
                </a:solidFill>
                <a:latin typeface="+mn-lt"/>
              </a:rPr>
              <a:t>ההשפעה של יחס הקלקה ממוצע על הרוווח
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D5A6BD"/>
            </a:solidFill>
            <a:ln cmpd="sng">
              <a:solidFill>
                <a:srgbClr val="000000"/>
              </a:solidFill>
            </a:ln>
          </c:spPr>
          <c:dPt>
            <c:idx val="4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'Расчеты'!$A$14:$A$23</c:f>
            </c:strRef>
          </c:cat>
          <c:val>
            <c:numRef>
              <c:f>'Расчеты'!$B$14:$B$23</c:f>
              <c:numCache/>
            </c:numRef>
          </c:val>
        </c:ser>
        <c:axId val="902964129"/>
        <c:axId val="621522660"/>
      </c:barChart>
      <c:catAx>
        <c:axId val="9029641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CTR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621522660"/>
      </c:catAx>
      <c:valAx>
        <c:axId val="6215226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רווח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0296412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000000"/>
                </a:solidFill>
                <a:latin typeface="+mn-lt"/>
              </a:defRPr>
            </a:pPr>
            <a:r>
              <a:rPr b="1" i="0" sz="2000">
                <a:solidFill>
                  <a:srgbClr val="000000"/>
                </a:solidFill>
                <a:latin typeface="+mn-lt"/>
              </a:rPr>
              <a:t>ההשפעה של שיעור ההמרה הממוצע של דף הנחיתה על הרווח
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Pt>
            <c:idx val="4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'Расчеты'!$A$26:$A$35</c:f>
            </c:strRef>
          </c:cat>
          <c:val>
            <c:numRef>
              <c:f>'Расчеты'!$B$26:$B$35</c:f>
              <c:numCache/>
            </c:numRef>
          </c:val>
        </c:ser>
        <c:axId val="2037659651"/>
        <c:axId val="1150847146"/>
      </c:barChart>
      <c:catAx>
        <c:axId val="20376596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יחס המרה ממוצע של דף נחיתה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150847146"/>
      </c:catAx>
      <c:valAx>
        <c:axId val="11508471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רווח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3765965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25</xdr:row>
      <xdr:rowOff>66675</xdr:rowOff>
    </xdr:from>
    <xdr:ext cx="7581900" cy="3533775"/>
    <xdr:graphicFrame>
      <xdr:nvGraphicFramePr>
        <xdr:cNvPr id="1995397048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257175</xdr:colOff>
      <xdr:row>43</xdr:row>
      <xdr:rowOff>0</xdr:rowOff>
    </xdr:from>
    <xdr:ext cx="7600950" cy="3533775"/>
    <xdr:graphicFrame>
      <xdr:nvGraphicFramePr>
        <xdr:cNvPr id="1519807893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257175</xdr:colOff>
      <xdr:row>60</xdr:row>
      <xdr:rowOff>133350</xdr:rowOff>
    </xdr:from>
    <xdr:ext cx="7600950" cy="3533775"/>
    <xdr:graphicFrame>
      <xdr:nvGraphicFramePr>
        <xdr:cNvPr id="1984243910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24.13"/>
    <col customWidth="1" min="3" max="6" width="12.63"/>
    <col customWidth="1" min="9" max="9" width="3.63"/>
  </cols>
  <sheetData>
    <row r="1" ht="18.0" customHeight="1">
      <c r="A1" s="1"/>
      <c r="B1" s="1"/>
      <c r="C1" s="1"/>
      <c r="D1" s="1"/>
      <c r="E1" s="1"/>
      <c r="F1" s="1"/>
      <c r="G1" s="1"/>
      <c r="H1" s="1"/>
    </row>
    <row r="2" ht="45.0" customHeight="1">
      <c r="A2" s="1"/>
      <c r="B2" s="2" t="s">
        <v>0</v>
      </c>
      <c r="C2" s="3"/>
      <c r="D2" s="3"/>
      <c r="E2" s="3"/>
      <c r="F2" s="3"/>
      <c r="G2" s="3"/>
      <c r="H2" s="4"/>
    </row>
    <row r="3" ht="15.75" customHeight="1">
      <c r="A3" s="5"/>
      <c r="B3" s="6"/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6</v>
      </c>
    </row>
    <row r="4" ht="15.75" customHeight="1">
      <c r="A4" s="5"/>
      <c r="B4" s="9" t="s">
        <v>7</v>
      </c>
      <c r="C4" s="10">
        <v>2100.0</v>
      </c>
      <c r="D4" s="10">
        <v>230.0</v>
      </c>
      <c r="E4" s="10">
        <v>120.0</v>
      </c>
      <c r="F4" s="10"/>
      <c r="G4" s="10"/>
      <c r="H4" s="11">
        <f>SUM(C4:G4)</f>
        <v>2450</v>
      </c>
      <c r="J4" s="12"/>
      <c r="K4" s="13" t="s">
        <v>8</v>
      </c>
    </row>
    <row r="5" ht="15.75" customHeight="1">
      <c r="A5" s="5"/>
      <c r="B5" s="9" t="s">
        <v>9</v>
      </c>
      <c r="C5" s="10">
        <v>2.5</v>
      </c>
      <c r="D5" s="10">
        <v>2.5</v>
      </c>
      <c r="E5" s="10">
        <v>14.0</v>
      </c>
      <c r="F5" s="10"/>
      <c r="G5" s="10"/>
      <c r="H5" s="14"/>
    </row>
    <row r="6" ht="15.75" customHeight="1">
      <c r="A6" s="5"/>
      <c r="B6" s="15" t="s">
        <v>10</v>
      </c>
      <c r="C6" s="16">
        <v>0.1</v>
      </c>
      <c r="D6" s="16">
        <v>0.07</v>
      </c>
      <c r="E6" s="16">
        <v>0.055</v>
      </c>
      <c r="F6" s="16"/>
      <c r="G6" s="16"/>
      <c r="H6" s="14"/>
      <c r="J6" s="17"/>
      <c r="K6" s="13" t="s">
        <v>11</v>
      </c>
    </row>
    <row r="7" ht="15.75" customHeight="1">
      <c r="A7" s="5"/>
      <c r="B7" s="9" t="s">
        <v>12</v>
      </c>
      <c r="C7" s="18">
        <f t="shared" ref="C7:G7" si="1">ROUND(C4*C6,0)</f>
        <v>210</v>
      </c>
      <c r="D7" s="18">
        <f t="shared" si="1"/>
        <v>16</v>
      </c>
      <c r="E7" s="18">
        <f t="shared" si="1"/>
        <v>7</v>
      </c>
      <c r="F7" s="18">
        <f t="shared" si="1"/>
        <v>0</v>
      </c>
      <c r="G7" s="18">
        <f t="shared" si="1"/>
        <v>0</v>
      </c>
      <c r="H7" s="11">
        <f t="shared" ref="H7:H8" si="3">SUM(C7:G7)</f>
        <v>233</v>
      </c>
    </row>
    <row r="8" ht="15.75" customHeight="1">
      <c r="A8" s="5"/>
      <c r="B8" s="19" t="s">
        <v>13</v>
      </c>
      <c r="C8" s="20">
        <f t="shared" ref="C8:G8" si="2">C5*C7</f>
        <v>525</v>
      </c>
      <c r="D8" s="20">
        <f t="shared" si="2"/>
        <v>40</v>
      </c>
      <c r="E8" s="20">
        <f t="shared" si="2"/>
        <v>98</v>
      </c>
      <c r="F8" s="20">
        <f t="shared" si="2"/>
        <v>0</v>
      </c>
      <c r="G8" s="20">
        <f t="shared" si="2"/>
        <v>0</v>
      </c>
      <c r="H8" s="21">
        <f t="shared" si="3"/>
        <v>663</v>
      </c>
    </row>
    <row r="9" ht="15.75" customHeight="1">
      <c r="H9" s="22"/>
    </row>
    <row r="10" ht="45.0" customHeight="1">
      <c r="A10" s="1"/>
      <c r="B10" s="2" t="s">
        <v>14</v>
      </c>
      <c r="C10" s="3"/>
      <c r="D10" s="3"/>
      <c r="E10" s="3"/>
      <c r="F10" s="3"/>
      <c r="G10" s="3"/>
      <c r="H10" s="4"/>
    </row>
    <row r="11" ht="15.75" customHeight="1">
      <c r="A11" s="5"/>
      <c r="B11" s="6"/>
      <c r="C11" s="23" t="str">
        <f t="shared" ref="C11:H11" si="4">C3</f>
        <v>אימון כושר </v>
      </c>
      <c r="D11" s="23" t="str">
        <f t="shared" si="4"/>
        <v>תזונאי</v>
      </c>
      <c r="E11" s="23" t="str">
        <f t="shared" si="4"/>
        <v>קבוצתי</v>
      </c>
      <c r="F11" s="23" t="str">
        <f t="shared" si="4"/>
        <v>מוצר 4</v>
      </c>
      <c r="G11" s="23" t="str">
        <f t="shared" si="4"/>
        <v>מוצר 5</v>
      </c>
      <c r="H11" s="14" t="str">
        <f t="shared" si="4"/>
        <v>סה"כ</v>
      </c>
    </row>
    <row r="12" ht="15.75" customHeight="1">
      <c r="A12" s="5"/>
      <c r="B12" s="9" t="s">
        <v>15</v>
      </c>
      <c r="C12" s="16">
        <v>0.05</v>
      </c>
      <c r="D12" s="16">
        <v>0.03</v>
      </c>
      <c r="E12" s="16">
        <v>0.03</v>
      </c>
      <c r="F12" s="16"/>
      <c r="G12" s="16"/>
      <c r="H12" s="14"/>
    </row>
    <row r="13" ht="15.75" customHeight="1">
      <c r="A13" s="5"/>
      <c r="B13" s="9" t="s">
        <v>16</v>
      </c>
      <c r="C13" s="18">
        <f t="shared" ref="C13:G13" si="5">ROUND(C7*C12,0)</f>
        <v>11</v>
      </c>
      <c r="D13" s="18">
        <f t="shared" si="5"/>
        <v>0</v>
      </c>
      <c r="E13" s="18">
        <f t="shared" si="5"/>
        <v>0</v>
      </c>
      <c r="F13" s="18">
        <f t="shared" si="5"/>
        <v>0</v>
      </c>
      <c r="G13" s="18">
        <f t="shared" si="5"/>
        <v>0</v>
      </c>
      <c r="H13" s="24">
        <f>SUM(C13:G13)</f>
        <v>11</v>
      </c>
    </row>
    <row r="14" ht="15.75" customHeight="1">
      <c r="A14" s="5"/>
      <c r="B14" s="25" t="s">
        <v>17</v>
      </c>
      <c r="C14" s="26">
        <f t="shared" ref="C14:G14" si="6">C13/C4</f>
        <v>0.005238095238</v>
      </c>
      <c r="D14" s="26">
        <f t="shared" si="6"/>
        <v>0</v>
      </c>
      <c r="E14" s="26">
        <f t="shared" si="6"/>
        <v>0</v>
      </c>
      <c r="F14" s="26" t="str">
        <f t="shared" si="6"/>
        <v>#DIV/0!</v>
      </c>
      <c r="G14" s="26" t="str">
        <f t="shared" si="6"/>
        <v>#DIV/0!</v>
      </c>
      <c r="H14" s="27"/>
    </row>
    <row r="15" ht="15.75" customHeight="1">
      <c r="H15" s="22"/>
    </row>
    <row r="16" ht="45.0" customHeight="1">
      <c r="A16" s="1"/>
      <c r="B16" s="2" t="s">
        <v>18</v>
      </c>
      <c r="C16" s="3"/>
      <c r="D16" s="3"/>
      <c r="E16" s="3"/>
      <c r="F16" s="3"/>
      <c r="G16" s="3"/>
      <c r="H16" s="4"/>
    </row>
    <row r="17" ht="15.75" customHeight="1">
      <c r="A17" s="5"/>
      <c r="B17" s="6"/>
      <c r="C17" s="23" t="str">
        <f t="shared" ref="C17:H17" si="7">C3</f>
        <v>אימון כושר </v>
      </c>
      <c r="D17" s="23" t="str">
        <f t="shared" si="7"/>
        <v>תזונאי</v>
      </c>
      <c r="E17" s="23" t="str">
        <f t="shared" si="7"/>
        <v>קבוצתי</v>
      </c>
      <c r="F17" s="23" t="str">
        <f t="shared" si="7"/>
        <v>מוצר 4</v>
      </c>
      <c r="G17" s="23" t="str">
        <f t="shared" si="7"/>
        <v>מוצר 5</v>
      </c>
      <c r="H17" s="14" t="str">
        <f t="shared" si="7"/>
        <v>סה"כ</v>
      </c>
    </row>
    <row r="18" ht="15.75" customHeight="1">
      <c r="A18" s="5"/>
      <c r="B18" s="9" t="s">
        <v>19</v>
      </c>
      <c r="C18" s="16">
        <v>0.3</v>
      </c>
      <c r="D18" s="16">
        <v>0.1</v>
      </c>
      <c r="E18" s="16">
        <v>0.1</v>
      </c>
      <c r="F18" s="16"/>
      <c r="G18" s="16"/>
      <c r="H18" s="14"/>
    </row>
    <row r="19" ht="15.75" customHeight="1">
      <c r="A19" s="5"/>
      <c r="B19" s="9" t="s">
        <v>20</v>
      </c>
      <c r="C19" s="28">
        <v>1000.0</v>
      </c>
      <c r="D19" s="28">
        <v>1000.0</v>
      </c>
      <c r="E19" s="28">
        <v>1000.0</v>
      </c>
      <c r="F19" s="28"/>
      <c r="G19" s="28"/>
      <c r="H19" s="29"/>
    </row>
    <row r="20" ht="15.75" customHeight="1">
      <c r="A20" s="5"/>
      <c r="B20" s="9" t="s">
        <v>21</v>
      </c>
      <c r="C20" s="28">
        <v>100.0</v>
      </c>
      <c r="D20" s="28">
        <v>100.0</v>
      </c>
      <c r="E20" s="28">
        <v>100.0</v>
      </c>
      <c r="F20" s="28"/>
      <c r="G20" s="28"/>
      <c r="H20" s="29"/>
    </row>
    <row r="21" ht="15.75" customHeight="1">
      <c r="A21" s="5"/>
      <c r="B21" s="9" t="s">
        <v>22</v>
      </c>
      <c r="C21" s="30">
        <f t="shared" ref="C21:E21" si="8">ROUND(C13*C18,0)</f>
        <v>3</v>
      </c>
      <c r="D21" s="30">
        <f t="shared" si="8"/>
        <v>0</v>
      </c>
      <c r="E21" s="30">
        <f t="shared" si="8"/>
        <v>0</v>
      </c>
      <c r="F21" s="30"/>
      <c r="G21" s="30"/>
      <c r="H21" s="31">
        <f t="shared" ref="H21:H24" si="10">SUM(C21:G21)</f>
        <v>3</v>
      </c>
    </row>
    <row r="22" ht="15.75" customHeight="1">
      <c r="A22" s="5"/>
      <c r="B22" s="9" t="s">
        <v>23</v>
      </c>
      <c r="C22" s="32">
        <f t="shared" ref="C22:E22" si="9">C19*C21</f>
        <v>3000</v>
      </c>
      <c r="D22" s="32">
        <f t="shared" si="9"/>
        <v>0</v>
      </c>
      <c r="E22" s="32">
        <f t="shared" si="9"/>
        <v>0</v>
      </c>
      <c r="F22" s="32"/>
      <c r="G22" s="32"/>
      <c r="H22" s="33">
        <f t="shared" si="10"/>
        <v>3000</v>
      </c>
    </row>
    <row r="23" ht="18.0" customHeight="1">
      <c r="A23" s="5"/>
      <c r="B23" s="9" t="s">
        <v>24</v>
      </c>
      <c r="C23" s="32">
        <f t="shared" ref="C23:E23" si="11">C20*C21</f>
        <v>300</v>
      </c>
      <c r="D23" s="32">
        <f t="shared" si="11"/>
        <v>0</v>
      </c>
      <c r="E23" s="32">
        <f t="shared" si="11"/>
        <v>0</v>
      </c>
      <c r="F23" s="32"/>
      <c r="G23" s="32"/>
      <c r="H23" s="33">
        <f t="shared" si="10"/>
        <v>300</v>
      </c>
    </row>
    <row r="24" ht="15.75" customHeight="1">
      <c r="A24" s="5"/>
      <c r="B24" s="9" t="s">
        <v>25</v>
      </c>
      <c r="C24" s="32">
        <f t="shared" ref="C24:E24" si="12">C22-C23-C8</f>
        <v>2175</v>
      </c>
      <c r="D24" s="32">
        <f t="shared" si="12"/>
        <v>-40</v>
      </c>
      <c r="E24" s="32">
        <f t="shared" si="12"/>
        <v>-98</v>
      </c>
      <c r="F24" s="32"/>
      <c r="G24" s="32"/>
      <c r="H24" s="33">
        <f t="shared" si="10"/>
        <v>2037</v>
      </c>
    </row>
    <row r="25" ht="15.75" customHeight="1">
      <c r="A25" s="5"/>
      <c r="B25" s="25" t="s">
        <v>26</v>
      </c>
      <c r="C25" s="26">
        <f t="shared" ref="C25:H25" si="13">C24/C8</f>
        <v>4.142857143</v>
      </c>
      <c r="D25" s="26">
        <f t="shared" si="13"/>
        <v>-1</v>
      </c>
      <c r="E25" s="26">
        <f t="shared" si="13"/>
        <v>-1</v>
      </c>
      <c r="F25" s="26" t="str">
        <f t="shared" si="13"/>
        <v>#DIV/0!</v>
      </c>
      <c r="G25" s="26" t="str">
        <f t="shared" si="13"/>
        <v>#DIV/0!</v>
      </c>
      <c r="H25" s="34">
        <f t="shared" si="13"/>
        <v>3.07239819</v>
      </c>
    </row>
    <row r="26" ht="15.75" customHeight="1">
      <c r="C26" s="5"/>
    </row>
    <row r="27" ht="15.75" customHeight="1"/>
    <row r="28" ht="15.75" customHeight="1">
      <c r="A28" s="5"/>
    </row>
    <row r="29" ht="15.75" customHeight="1">
      <c r="A29" s="5"/>
    </row>
    <row r="30" ht="15.75" customHeight="1">
      <c r="A30" s="5"/>
    </row>
    <row r="31" ht="15.75" customHeight="1">
      <c r="A31" s="5"/>
    </row>
    <row r="32" ht="15.75" customHeight="1">
      <c r="A32" s="5"/>
    </row>
    <row r="33" ht="15.75" customHeight="1">
      <c r="A33" s="5"/>
    </row>
    <row r="34" ht="15.75" customHeight="1">
      <c r="A34" s="5"/>
    </row>
    <row r="35" ht="15.75" customHeight="1">
      <c r="A35" s="5"/>
    </row>
    <row r="36" ht="15.75" customHeight="1">
      <c r="A36" s="5"/>
    </row>
    <row r="37" ht="15.75" customHeight="1">
      <c r="A37" s="5"/>
    </row>
    <row r="38" ht="15.75" customHeight="1">
      <c r="A38" s="5"/>
    </row>
    <row r="39" ht="15.75" customHeight="1"/>
    <row r="40" ht="15.75" customHeight="1">
      <c r="A40" s="5"/>
    </row>
    <row r="41" ht="15.75" customHeight="1">
      <c r="A41" s="35"/>
    </row>
    <row r="42" ht="15.75" customHeight="1">
      <c r="A42" s="35"/>
    </row>
    <row r="43" ht="15.75" customHeight="1">
      <c r="A43" s="35"/>
    </row>
    <row r="44" ht="15.75" customHeight="1">
      <c r="A44" s="35"/>
    </row>
    <row r="45" ht="15.75" customHeight="1">
      <c r="A45" s="35"/>
    </row>
    <row r="46" ht="15.75" customHeight="1">
      <c r="A46" s="35"/>
    </row>
    <row r="47" ht="15.75" customHeight="1">
      <c r="A47" s="35"/>
    </row>
    <row r="48" ht="15.75" customHeight="1">
      <c r="A48" s="35"/>
    </row>
    <row r="49" ht="15.75" customHeight="1">
      <c r="A49" s="35"/>
    </row>
    <row r="50" ht="15.75" customHeight="1">
      <c r="A50" s="35"/>
    </row>
    <row r="51" ht="15.75" customHeight="1"/>
    <row r="52" ht="15.75" customHeight="1">
      <c r="A52" s="5"/>
    </row>
    <row r="53" ht="15.75" customHeight="1">
      <c r="A53" s="35"/>
    </row>
    <row r="54" ht="15.75" customHeight="1">
      <c r="A54" s="35"/>
    </row>
    <row r="55" ht="15.75" customHeight="1">
      <c r="A55" s="35"/>
    </row>
    <row r="56" ht="15.75" customHeight="1">
      <c r="A56" s="35"/>
    </row>
    <row r="57" ht="15.75" customHeight="1">
      <c r="A57" s="35"/>
    </row>
    <row r="58" ht="15.75" customHeight="1">
      <c r="A58" s="35"/>
    </row>
    <row r="59" ht="15.75" customHeight="1">
      <c r="A59" s="35"/>
    </row>
    <row r="60" ht="15.75" customHeight="1">
      <c r="A60" s="35"/>
    </row>
    <row r="61" ht="15.75" customHeight="1">
      <c r="A61" s="35"/>
    </row>
    <row r="62" ht="15.75" customHeight="1">
      <c r="A62" s="35"/>
    </row>
    <row r="63" ht="15.75" customHeight="1"/>
    <row r="64" ht="15.75" customHeight="1">
      <c r="A64" s="5"/>
    </row>
    <row r="65" ht="15.75" customHeight="1">
      <c r="A65" s="5"/>
    </row>
    <row r="66" ht="15.75" customHeight="1">
      <c r="A66" s="5"/>
    </row>
    <row r="67" ht="15.75" customHeight="1">
      <c r="A67" s="5"/>
    </row>
    <row r="68" ht="15.75" customHeight="1">
      <c r="A68" s="5"/>
    </row>
    <row r="69" ht="15.75" customHeight="1">
      <c r="A69" s="5"/>
    </row>
    <row r="70" ht="15.75" customHeight="1">
      <c r="A70" s="5"/>
    </row>
    <row r="71" ht="15.75" customHeight="1">
      <c r="A71" s="5"/>
    </row>
    <row r="72" ht="15.75" customHeight="1">
      <c r="A72" s="5"/>
    </row>
    <row r="73" ht="15.75" customHeight="1">
      <c r="A73" s="5"/>
    </row>
    <row r="74" ht="15.75" customHeight="1">
      <c r="A74" s="5"/>
    </row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H2"/>
    <mergeCell ref="B10:H10"/>
    <mergeCell ref="B16:H16"/>
  </mergeCells>
  <conditionalFormatting sqref="C14:G14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5:G25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5" t="s">
        <v>27</v>
      </c>
      <c r="B1" s="5" t="s">
        <v>28</v>
      </c>
      <c r="C1" s="5" t="s">
        <v>29</v>
      </c>
    </row>
    <row r="2" ht="15.75" customHeight="1">
      <c r="A2" s="5">
        <v>1.0</v>
      </c>
      <c r="B2" s="36">
        <f>(1+400%)*$B$6</f>
        <v>3315</v>
      </c>
      <c r="C2" s="36">
        <f t="shared" ref="C2:C5" si="1">$C$6+$B$6-B2</f>
        <v>-615</v>
      </c>
    </row>
    <row r="3" ht="15.75" customHeight="1">
      <c r="A3" s="5">
        <v>2.0</v>
      </c>
      <c r="B3" s="36">
        <f>(1+150%)*$B$6</f>
        <v>1657.5</v>
      </c>
      <c r="C3" s="36">
        <f t="shared" si="1"/>
        <v>1042.5</v>
      </c>
    </row>
    <row r="4" ht="15.75" customHeight="1">
      <c r="A4" s="5">
        <v>3.0</v>
      </c>
      <c r="B4" s="36">
        <f>(1+67.3%)*$B$6</f>
        <v>1109.199</v>
      </c>
      <c r="C4" s="36">
        <f t="shared" si="1"/>
        <v>1590.801</v>
      </c>
    </row>
    <row r="5" ht="15.75" customHeight="1">
      <c r="A5" s="5">
        <v>4.0</v>
      </c>
      <c r="B5" s="36">
        <f>(1+25%)*$B$6</f>
        <v>828.75</v>
      </c>
      <c r="C5" s="36">
        <f t="shared" si="1"/>
        <v>1871.25</v>
      </c>
    </row>
    <row r="6" ht="15.75" customHeight="1">
      <c r="A6" s="5">
        <v>5.0</v>
      </c>
      <c r="B6" s="36">
        <f>'חישוב תקציב '!H8</f>
        <v>663</v>
      </c>
      <c r="C6" s="36">
        <f>'חישוב תקציב '!H24</f>
        <v>2037</v>
      </c>
    </row>
    <row r="7" ht="15.75" customHeight="1">
      <c r="A7" s="5">
        <v>6.0</v>
      </c>
      <c r="B7" s="36">
        <f>(1-16.7%)*$B$6</f>
        <v>552.279</v>
      </c>
      <c r="C7" s="36">
        <f t="shared" ref="C7:C11" si="2">$C$6+$B$6-B7</f>
        <v>2147.721</v>
      </c>
    </row>
    <row r="8" ht="15.75" customHeight="1">
      <c r="A8" s="5">
        <v>7.0</v>
      </c>
      <c r="B8" s="36">
        <f>(1-28.6%)*$B$6</f>
        <v>473.382</v>
      </c>
      <c r="C8" s="36">
        <f t="shared" si="2"/>
        <v>2226.618</v>
      </c>
    </row>
    <row r="9" ht="15.75" customHeight="1">
      <c r="A9" s="5">
        <v>8.0</v>
      </c>
      <c r="B9" s="36">
        <f>(1-37.5%)*$B$6</f>
        <v>414.375</v>
      </c>
      <c r="C9" s="36">
        <f t="shared" si="2"/>
        <v>2285.625</v>
      </c>
    </row>
    <row r="10" ht="15.75" customHeight="1">
      <c r="A10" s="5">
        <v>9.0</v>
      </c>
      <c r="B10" s="36">
        <f>(1-44.2%)*$B$6</f>
        <v>369.954</v>
      </c>
      <c r="C10" s="36">
        <f t="shared" si="2"/>
        <v>2330.046</v>
      </c>
    </row>
    <row r="11" ht="15.75" customHeight="1">
      <c r="A11" s="5">
        <v>10.0</v>
      </c>
      <c r="B11" s="36">
        <f>(1-50%)*$B$6</f>
        <v>331.5</v>
      </c>
      <c r="C11" s="36">
        <f t="shared" si="2"/>
        <v>2368.5</v>
      </c>
    </row>
    <row r="12" ht="15.75" customHeight="1"/>
    <row r="13" ht="15.75" customHeight="1">
      <c r="A13" s="5" t="s">
        <v>30</v>
      </c>
      <c r="B13" s="5" t="s">
        <v>29</v>
      </c>
      <c r="C13" s="5" t="s">
        <v>28</v>
      </c>
      <c r="D13" s="5" t="s">
        <v>31</v>
      </c>
    </row>
    <row r="14" ht="15.75" customHeight="1">
      <c r="A14" s="35">
        <v>0.02</v>
      </c>
      <c r="B14" s="5">
        <f t="shared" ref="B14:B23" si="3">D14-C14</f>
        <v>543.2</v>
      </c>
      <c r="C14" s="5">
        <f t="shared" ref="C14:C17" si="4">$C$18/$A$18*A14</f>
        <v>176.8</v>
      </c>
      <c r="D14" s="5">
        <f t="shared" ref="D14:D17" si="5">$D$18/$A$18*A14</f>
        <v>720</v>
      </c>
    </row>
    <row r="15" ht="15.75" customHeight="1">
      <c r="A15" s="35">
        <f>$A$18-($A$18-$A$14)/2</f>
        <v>0.0475</v>
      </c>
      <c r="B15" s="5">
        <f t="shared" si="3"/>
        <v>1290.1</v>
      </c>
      <c r="C15" s="5">
        <f t="shared" si="4"/>
        <v>419.9</v>
      </c>
      <c r="D15" s="5">
        <f t="shared" si="5"/>
        <v>1710</v>
      </c>
    </row>
    <row r="16" ht="15.75" customHeight="1">
      <c r="A16" s="35">
        <f>$A$18-($A$18-$A$14)/3</f>
        <v>0.05666666667</v>
      </c>
      <c r="B16" s="5">
        <f t="shared" si="3"/>
        <v>1539.066667</v>
      </c>
      <c r="C16" s="5">
        <f t="shared" si="4"/>
        <v>500.9333333</v>
      </c>
      <c r="D16" s="5">
        <f t="shared" si="5"/>
        <v>2040</v>
      </c>
    </row>
    <row r="17" ht="15.75" customHeight="1">
      <c r="A17" s="35">
        <f>$A$18-($A$18-$A$14)/4</f>
        <v>0.06125</v>
      </c>
      <c r="B17" s="5">
        <f t="shared" si="3"/>
        <v>1663.55</v>
      </c>
      <c r="C17" s="5">
        <f t="shared" si="4"/>
        <v>541.45</v>
      </c>
      <c r="D17" s="5">
        <f t="shared" si="5"/>
        <v>2205</v>
      </c>
    </row>
    <row r="18" ht="15.75" customHeight="1">
      <c r="A18" s="35">
        <f>AVERAGE('חישוב תקציב '!C6:G6)</f>
        <v>0.075</v>
      </c>
      <c r="B18" s="36">
        <f t="shared" si="3"/>
        <v>2037</v>
      </c>
      <c r="C18" s="36">
        <f>'חישוב תקציב '!H8</f>
        <v>663</v>
      </c>
      <c r="D18" s="36">
        <f>'חישוב תקציב '!H22-'חישוב תקציב '!H23</f>
        <v>2700</v>
      </c>
    </row>
    <row r="19" ht="15.75" customHeight="1">
      <c r="A19" s="35">
        <f>$A$18+($A$23-$A$18)/4</f>
        <v>0.11625</v>
      </c>
      <c r="B19" s="5">
        <f t="shared" si="3"/>
        <v>3157.35</v>
      </c>
      <c r="C19" s="5">
        <f t="shared" ref="C19:C23" si="6">$C$18/$A$18*A19</f>
        <v>1027.65</v>
      </c>
      <c r="D19" s="5">
        <f t="shared" ref="D19:D23" si="7">$D$18/$A$18*A19</f>
        <v>4185</v>
      </c>
    </row>
    <row r="20" ht="15.75" customHeight="1">
      <c r="A20" s="35">
        <f>$A$18+($A$23-$A$18)/3</f>
        <v>0.13</v>
      </c>
      <c r="B20" s="5">
        <f t="shared" si="3"/>
        <v>3530.8</v>
      </c>
      <c r="C20" s="5">
        <f t="shared" si="6"/>
        <v>1149.2</v>
      </c>
      <c r="D20" s="5">
        <f t="shared" si="7"/>
        <v>4680</v>
      </c>
    </row>
    <row r="21" ht="15.75" customHeight="1">
      <c r="A21" s="35">
        <f>$A$18+($A$23-$A$18)/2</f>
        <v>0.1575</v>
      </c>
      <c r="B21" s="5">
        <f t="shared" si="3"/>
        <v>4277.7</v>
      </c>
      <c r="C21" s="5">
        <f t="shared" si="6"/>
        <v>1392.3</v>
      </c>
      <c r="D21" s="5">
        <f t="shared" si="7"/>
        <v>5670</v>
      </c>
    </row>
    <row r="22" ht="15.75" customHeight="1">
      <c r="A22" s="35">
        <f>$A$18+($A$23-$A$18)/1.5</f>
        <v>0.185</v>
      </c>
      <c r="B22" s="5">
        <f t="shared" si="3"/>
        <v>5024.6</v>
      </c>
      <c r="C22" s="5">
        <f t="shared" si="6"/>
        <v>1635.4</v>
      </c>
      <c r="D22" s="5">
        <f t="shared" si="7"/>
        <v>6660</v>
      </c>
    </row>
    <row r="23" ht="15.75" customHeight="1">
      <c r="A23" s="35">
        <v>0.24</v>
      </c>
      <c r="B23" s="5">
        <f t="shared" si="3"/>
        <v>6518.4</v>
      </c>
      <c r="C23" s="5">
        <f t="shared" si="6"/>
        <v>2121.6</v>
      </c>
      <c r="D23" s="5">
        <f t="shared" si="7"/>
        <v>8640</v>
      </c>
    </row>
    <row r="24" ht="15.75" customHeight="1"/>
    <row r="25" ht="15.75" customHeight="1">
      <c r="A25" s="5" t="s">
        <v>32</v>
      </c>
      <c r="B25" s="5" t="s">
        <v>29</v>
      </c>
      <c r="C25" s="5" t="s">
        <v>31</v>
      </c>
    </row>
    <row r="26" ht="15.75" customHeight="1">
      <c r="A26" s="35">
        <v>0.001</v>
      </c>
      <c r="B26" s="37">
        <f>C26-'חישוב תקציב '!$H$8</f>
        <v>-589.3636364</v>
      </c>
      <c r="C26" s="5">
        <f t="shared" ref="C26:C29" si="8">$C$30/$A$30*A26</f>
        <v>73.63636364</v>
      </c>
    </row>
    <row r="27" ht="15.75" customHeight="1">
      <c r="A27" s="35">
        <f>$A$30-($A$30-$A$26)/2</f>
        <v>0.01883333333</v>
      </c>
      <c r="B27" s="37">
        <f>C27-'חישוב תקציב '!$H$8</f>
        <v>723.8181818</v>
      </c>
      <c r="C27" s="5">
        <f t="shared" si="8"/>
        <v>1386.818182</v>
      </c>
    </row>
    <row r="28" ht="15.75" customHeight="1">
      <c r="A28" s="35">
        <f>$A$30-($A$30-$A$26)/3</f>
        <v>0.02477777778</v>
      </c>
      <c r="B28" s="37">
        <f>C28-'חישוב תקציב '!$H$8</f>
        <v>1161.545455</v>
      </c>
      <c r="C28" s="5">
        <f t="shared" si="8"/>
        <v>1824.545455</v>
      </c>
    </row>
    <row r="29" ht="15.75" customHeight="1">
      <c r="A29" s="35">
        <f>$A$30-($A$30-$A$26)/4</f>
        <v>0.02775</v>
      </c>
      <c r="B29" s="37">
        <f>C29-'חישוב תקציב '!$H$8</f>
        <v>1380.409091</v>
      </c>
      <c r="C29" s="5">
        <f t="shared" si="8"/>
        <v>2043.409091</v>
      </c>
    </row>
    <row r="30" ht="15.75" customHeight="1">
      <c r="A30" s="35">
        <f>AVERAGE('חישוב תקציב '!C12:G12)</f>
        <v>0.03666666667</v>
      </c>
      <c r="B30" s="36">
        <f>C30-'חישוב תקציב '!$H$8</f>
        <v>2037</v>
      </c>
      <c r="C30" s="36">
        <f>'חישוב תקציב '!H22-'חישוב תקציב '!H23</f>
        <v>2700</v>
      </c>
    </row>
    <row r="31" ht="15.75" customHeight="1">
      <c r="A31" s="35">
        <f>$A$30+($A$35-$A$30)/4</f>
        <v>0.0525</v>
      </c>
      <c r="B31" s="37">
        <f>C31-'חישוב תקציב '!$H$8</f>
        <v>3202.909091</v>
      </c>
      <c r="C31" s="5">
        <f t="shared" ref="C31:C35" si="9">$C$30/$A$30*A31</f>
        <v>3865.909091</v>
      </c>
    </row>
    <row r="32" ht="15.75" customHeight="1">
      <c r="A32" s="35">
        <f>$A$30+($A$35-$A$30)/3</f>
        <v>0.05777777778</v>
      </c>
      <c r="B32" s="37">
        <f>C32-'חישוב תקציב '!$H$8</f>
        <v>3591.545455</v>
      </c>
      <c r="C32" s="5">
        <f t="shared" si="9"/>
        <v>4254.545455</v>
      </c>
    </row>
    <row r="33" ht="15.75" customHeight="1">
      <c r="A33" s="35">
        <f>$A$30+($A$35-$A$30)/2</f>
        <v>0.06833333333</v>
      </c>
      <c r="B33" s="37">
        <f>C33-'חישוב תקציב '!$H$8</f>
        <v>4368.818182</v>
      </c>
      <c r="C33" s="5">
        <f t="shared" si="9"/>
        <v>5031.818182</v>
      </c>
    </row>
    <row r="34" ht="15.75" customHeight="1">
      <c r="A34" s="35">
        <f>$A$30+($A$35-$A$30)/1.5</f>
        <v>0.07888888889</v>
      </c>
      <c r="B34" s="37">
        <f>C34-'חישוב תקציב '!$H$8</f>
        <v>5146.090909</v>
      </c>
      <c r="C34" s="5">
        <f t="shared" si="9"/>
        <v>5809.090909</v>
      </c>
    </row>
    <row r="35" ht="15.75" customHeight="1">
      <c r="A35" s="35">
        <v>0.1</v>
      </c>
      <c r="B35" s="37">
        <f>C35-'חישוב תקציב '!$H$8</f>
        <v>6700.636364</v>
      </c>
      <c r="C35" s="5">
        <f t="shared" si="9"/>
        <v>7363.636364</v>
      </c>
    </row>
    <row r="36" ht="15.75" customHeight="1"/>
    <row r="37" ht="15.75" customHeight="1">
      <c r="A37" s="5" t="s">
        <v>33</v>
      </c>
      <c r="B37" s="5" t="s">
        <v>29</v>
      </c>
      <c r="C37" s="5" t="s">
        <v>10</v>
      </c>
      <c r="D37" s="5" t="s">
        <v>34</v>
      </c>
      <c r="E37" s="5" t="s">
        <v>28</v>
      </c>
      <c r="F37" s="5" t="s">
        <v>31</v>
      </c>
    </row>
    <row r="38" ht="15.75" customHeight="1">
      <c r="A38" s="5" t="s">
        <v>35</v>
      </c>
      <c r="B38" s="5">
        <f t="shared" ref="B38:B42" si="10">F38-E38</f>
        <v>-864.3636364</v>
      </c>
      <c r="C38" s="35">
        <f>A14</f>
        <v>0.02</v>
      </c>
      <c r="D38" s="35">
        <f>A26</f>
        <v>0.001</v>
      </c>
      <c r="E38" s="5">
        <f>(1+400%)*$E$40/C40*C38</f>
        <v>884</v>
      </c>
      <c r="F38" s="5">
        <f t="shared" ref="F38:F39" si="12">$F$40/$D$40/$C$40*D38*C38</f>
        <v>19.63636364</v>
      </c>
    </row>
    <row r="39" ht="15.75" customHeight="1">
      <c r="A39" s="5" t="s">
        <v>36</v>
      </c>
      <c r="B39" s="5">
        <f t="shared" si="10"/>
        <v>353.4431818</v>
      </c>
      <c r="C39" s="35">
        <f t="shared" ref="C39:D39" si="11">(C40+C38)/2</f>
        <v>0.0475</v>
      </c>
      <c r="D39" s="35">
        <f t="shared" si="11"/>
        <v>0.01883333333</v>
      </c>
      <c r="E39" s="5">
        <f>(1+25%)*$E$40/C40*C39</f>
        <v>524.875</v>
      </c>
      <c r="F39" s="5">
        <f t="shared" si="12"/>
        <v>878.3181818</v>
      </c>
    </row>
    <row r="40" ht="15.75" customHeight="1">
      <c r="A40" s="5" t="s">
        <v>37</v>
      </c>
      <c r="B40" s="36">
        <f t="shared" si="10"/>
        <v>2037</v>
      </c>
      <c r="C40" s="35">
        <f>A18</f>
        <v>0.075</v>
      </c>
      <c r="D40" s="35">
        <f>A30</f>
        <v>0.03666666667</v>
      </c>
      <c r="E40" s="36">
        <f>'חישוב תקציב '!H8</f>
        <v>663</v>
      </c>
      <c r="F40" s="36">
        <f>'חישוב תקציב '!H22-'חישוב תקציב '!H23</f>
        <v>2700</v>
      </c>
    </row>
    <row r="41" ht="15.75" customHeight="1">
      <c r="A41" s="5" t="s">
        <v>38</v>
      </c>
      <c r="B41" s="5">
        <f t="shared" si="10"/>
        <v>9407.032282</v>
      </c>
      <c r="C41" s="35">
        <f t="shared" ref="C41:D41" si="13">(C42+C40)/2</f>
        <v>0.1575</v>
      </c>
      <c r="D41" s="35">
        <f t="shared" si="13"/>
        <v>0.06833333333</v>
      </c>
      <c r="E41" s="5">
        <f>(1-16.7%)*$E$40/C40*C41</f>
        <v>1159.7859</v>
      </c>
      <c r="F41" s="5">
        <f t="shared" ref="F41:F42" si="14">$F$40/$D$40/$C$40*D41*C41</f>
        <v>10566.81818</v>
      </c>
    </row>
    <row r="42" ht="15.75" customHeight="1">
      <c r="A42" s="5" t="s">
        <v>39</v>
      </c>
      <c r="B42" s="5">
        <f t="shared" si="10"/>
        <v>22502.83636</v>
      </c>
      <c r="C42" s="35">
        <f>A23</f>
        <v>0.24</v>
      </c>
      <c r="D42" s="35">
        <f>A35</f>
        <v>0.1</v>
      </c>
      <c r="E42" s="5">
        <f>(1-50%)*$E$40/C40*C42</f>
        <v>1060.8</v>
      </c>
      <c r="F42" s="5">
        <f t="shared" si="14"/>
        <v>23563.63636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